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2023\2023-0183-00\Studies - Narratives - Outline Specs\"/>
    </mc:Choice>
  </mc:AlternateContent>
  <xr:revisionPtr revIDLastSave="0" documentId="13_ncr:1_{0880E7D1-288E-4F64-8EF5-C64C4EA0FA4C}" xr6:coauthVersionLast="47" xr6:coauthVersionMax="47" xr10:uidLastSave="{00000000-0000-0000-0000-000000000000}"/>
  <bookViews>
    <workbookView xWindow="-108" yWindow="-108" windowWidth="23256" windowHeight="12576" xr2:uid="{9FE31F2B-3AA7-4359-9ADD-450B611EE035}"/>
  </bookViews>
  <sheets>
    <sheet name="Sheet1" sheetId="1" r:id="rId1"/>
  </sheets>
  <definedNames>
    <definedName name="_xlnm.Print_Area" localSheetId="0">Sheet1!$B$1:$F$42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4" i="1" l="1"/>
  <c r="F103" i="1"/>
  <c r="E103" i="1"/>
  <c r="F67" i="1"/>
  <c r="F66" i="1"/>
  <c r="E66" i="1"/>
  <c r="D93" i="1"/>
  <c r="D92" i="1"/>
  <c r="E92" i="1" s="1"/>
  <c r="D91" i="1"/>
  <c r="E91" i="1" s="1"/>
  <c r="E93" i="1"/>
  <c r="D56" i="1"/>
  <c r="E56" i="1" s="1"/>
  <c r="D55" i="1"/>
  <c r="E55" i="1" s="1"/>
  <c r="E114" i="1"/>
  <c r="E77" i="1"/>
  <c r="F72" i="1" l="1"/>
  <c r="F109" i="1" s="1"/>
  <c r="F38" i="1"/>
  <c r="F40" i="1" l="1"/>
  <c r="E15" i="1" l="1"/>
  <c r="D15" i="1"/>
  <c r="E85" i="1"/>
  <c r="D85" i="1"/>
  <c r="E97" i="1"/>
  <c r="E96" i="1"/>
  <c r="F102" i="1"/>
  <c r="F101" i="1"/>
  <c r="F100" i="1"/>
  <c r="E90" i="1"/>
  <c r="F65" i="1"/>
  <c r="E49" i="1"/>
  <c r="D49" i="1"/>
  <c r="F64" i="1"/>
  <c r="F63" i="1"/>
  <c r="E60" i="1"/>
  <c r="E59" i="1"/>
  <c r="F73" i="1" s="1"/>
  <c r="E54" i="1"/>
  <c r="F68" i="1" l="1"/>
  <c r="F74" i="1"/>
  <c r="F110" i="1"/>
  <c r="F111" i="1" s="1"/>
  <c r="D50" i="1"/>
  <c r="D86" i="1" s="1"/>
  <c r="E50" i="1"/>
  <c r="E51" i="1" l="1"/>
  <c r="E86" i="1"/>
  <c r="E87" i="1" s="1"/>
  <c r="E20" i="1" l="1"/>
  <c r="E21" i="1" l="1"/>
  <c r="E19" i="1" l="1"/>
  <c r="E30" i="1"/>
  <c r="F29" i="1"/>
  <c r="F28" i="1"/>
  <c r="F27" i="1"/>
  <c r="E67" i="1" l="1"/>
  <c r="E68" i="1" s="1"/>
  <c r="E31" i="1"/>
  <c r="E33" i="1" s="1"/>
  <c r="E16" i="1"/>
  <c r="F30" i="1"/>
  <c r="F31" i="1" s="1"/>
  <c r="E104" i="1" l="1"/>
  <c r="E105" i="1" s="1"/>
  <c r="F34" i="1"/>
  <c r="F33" i="1"/>
  <c r="F36" i="1" s="1"/>
  <c r="F106" i="1"/>
  <c r="E32" i="1"/>
  <c r="F69" i="1" l="1"/>
  <c r="F105" i="1"/>
  <c r="F107" i="1" s="1"/>
  <c r="F32" i="1"/>
  <c r="F35" i="1" s="1"/>
  <c r="F70" i="1" l="1"/>
</calcChain>
</file>

<file path=xl/sharedStrings.xml><?xml version="1.0" encoding="utf-8"?>
<sst xmlns="http://schemas.openxmlformats.org/spreadsheetml/2006/main" count="167" uniqueCount="70">
  <si>
    <t>PHASE 1</t>
  </si>
  <si>
    <t>Buildings Served</t>
  </si>
  <si>
    <t>Sq Ft</t>
  </si>
  <si>
    <t>Tons</t>
  </si>
  <si>
    <t>Present Cooling Source</t>
  </si>
  <si>
    <t>Building</t>
  </si>
  <si>
    <t>Not yet constructed</t>
  </si>
  <si>
    <t>ENGINEERING BUILDING</t>
  </si>
  <si>
    <t>ANTHONY HALL</t>
  </si>
  <si>
    <t>PACKAGING</t>
  </si>
  <si>
    <t>FOOD SCIENCE</t>
  </si>
  <si>
    <t>NATURAL RESOURCES</t>
  </si>
  <si>
    <t>C20 - PACKAGING ADDITION</t>
  </si>
  <si>
    <t>C14 - EDIC</t>
  </si>
  <si>
    <t>COMM. ARTS AND SCIENCES</t>
  </si>
  <si>
    <t>Engineering CHW Loop</t>
  </si>
  <si>
    <t>WELLS HALL</t>
  </si>
  <si>
    <t>ERICKSON HALL</t>
  </si>
  <si>
    <t>INTERNATIONAL CENTER</t>
  </si>
  <si>
    <t>International Center/Wells Hall CHW Loop</t>
  </si>
  <si>
    <t>Location</t>
  </si>
  <si>
    <t>Tons Capacity</t>
  </si>
  <si>
    <t>160'x125'</t>
  </si>
  <si>
    <t>New Chiller Plant Building Size (approx.)</t>
  </si>
  <si>
    <t>Quantity</t>
  </si>
  <si>
    <t>1000 ton electric centrifugal</t>
  </si>
  <si>
    <t>2800 ton steam turbine centrifugal</t>
  </si>
  <si>
    <t>2800 ton electric centrifugal</t>
  </si>
  <si>
    <t>Engineering - 1200 ton electric centrifugal</t>
  </si>
  <si>
    <t>Site Chilled Water Piping</t>
  </si>
  <si>
    <t>Site Steam Piping</t>
  </si>
  <si>
    <t>New Chillers</t>
  </si>
  <si>
    <t>Food Science - 620 ton steam absorption</t>
  </si>
  <si>
    <t>Wells Hall - 490 ton steam absorption</t>
  </si>
  <si>
    <t>International Center - 800 ton steam absorption</t>
  </si>
  <si>
    <t>Anthony Hall - 955 ton steam absorption</t>
  </si>
  <si>
    <t>C-03 STUDENT RECREATION AND WELLNESS CENTER</t>
  </si>
  <si>
    <t>New 20" steam and 10" condensate services to plant through crawl tunnel.  Connect steam service to both existing 24" steam service mains at Vault #210</t>
  </si>
  <si>
    <t>Existing Loop Chillers and Cooling Towers to be Removed</t>
  </si>
  <si>
    <t>1. Need a new electrical duct bank from ELE 1848 (Trowbridge Road, north of Railroad Crossing) to the south side of the WRCWP. 
2.  Requires a new 15kV circuit pair (H-11 &amp; H-31) from T.B. Simon Power Plant to the new WRCWP building.  MSU Cost:  $1,472,000</t>
  </si>
  <si>
    <t>Extend site chilled water piping from WRCWP to Engineering Loop, to EDIC, to Student Recreation and Wellness Center and to northwest side of the intersection of Red Cedar Road and North Shaw Lane.</t>
  </si>
  <si>
    <t>PHASE 2</t>
  </si>
  <si>
    <t>Additional Buildings Served</t>
  </si>
  <si>
    <t>Additional Connected Load</t>
  </si>
  <si>
    <t>Total Connected Loop Load</t>
  </si>
  <si>
    <t>Diversified Loop Load</t>
  </si>
  <si>
    <t xml:space="preserve">   Total Installed chiller capacity on WRCWP loop</t>
  </si>
  <si>
    <t xml:space="preserve">   N-1 chiller capacity on WRCWP loop</t>
  </si>
  <si>
    <t>Chiller capacity on WRCWP loop if all absorption chillers failed but all centrifugal chillers operational</t>
  </si>
  <si>
    <t>Installed Chiller Capacity on WRCWP loop as % Diversified Load</t>
  </si>
  <si>
    <t>N-1 Chiller Capacity on WRCWP loop as % Diversified Load</t>
  </si>
  <si>
    <t>Chiller capacity on WRCWP loop as % Diversified Load if all absorption chillers failed but all centrifugal chillers operational</t>
  </si>
  <si>
    <t xml:space="preserve">   Total installed chiller capacity in WRCW plant</t>
  </si>
  <si>
    <t>No Change</t>
  </si>
  <si>
    <t>Site Electrical</t>
  </si>
  <si>
    <t>PHASE 3</t>
  </si>
  <si>
    <t>Extend site chilled water piping from northwest side of the intersection of Red Cedar Road and North Shaw Lane and connect to existing Wells Hall/International Center loop piping</t>
  </si>
  <si>
    <t>Net added campus summer steam load for cooling, cumulative through phase (lbs/hr)</t>
  </si>
  <si>
    <t>Steam turbine chillers</t>
  </si>
  <si>
    <t>Absorption chillers</t>
  </si>
  <si>
    <t>Total</t>
  </si>
  <si>
    <t>no change</t>
  </si>
  <si>
    <t>None</t>
  </si>
  <si>
    <t>Existing Loop Chillers and Cooling Towers to Remain Operational</t>
  </si>
  <si>
    <t>Net added campus summer electrical load for cooling, cumulative through phase (kW)</t>
  </si>
  <si>
    <t>WRCWP - 1000 ton electric centrifugal</t>
  </si>
  <si>
    <t>WRCWP - 2800 ton steam turbine centrifugal</t>
  </si>
  <si>
    <t>WRCWP - 2800 ton electric centrifugal</t>
  </si>
  <si>
    <t xml:space="preserve">   Total installed chiller capacity in WRCWP</t>
  </si>
  <si>
    <t>MSU West Regional Chilled Water Plant - Summary of Phases 1-2-3
12/22/2023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</si>
</sst>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20"/>
      <color theme="1"/>
      <name val="Calibri"/>
      <family val="2"/>
      <scheme val="minor"/>
    </font>
  </fonts>
  <fills count="5">
    <fill>
      <patternFill patternType="none"/>
    </fill>
    <fill>
      <patternFill patternType="gray125"/>
    </fill>
    <fill>
      <patternFill patternType="solid">
        <fgColor rgb="FFFF00FF"/>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1" xfId="0" applyBorder="1"/>
    <xf numFmtId="164" fontId="0" fillId="0" borderId="1" xfId="1" applyNumberFormat="1" applyFont="1" applyBorder="1"/>
    <xf numFmtId="0" fontId="0" fillId="0" borderId="5" xfId="0" applyBorder="1"/>
    <xf numFmtId="0" fontId="0" fillId="0" borderId="6" xfId="0" applyBorder="1"/>
    <xf numFmtId="0" fontId="0" fillId="0" borderId="3" xfId="0" applyBorder="1"/>
    <xf numFmtId="0" fontId="0" fillId="0" borderId="2" xfId="0" applyBorder="1"/>
    <xf numFmtId="0" fontId="0" fillId="0" borderId="7" xfId="0" applyBorder="1"/>
    <xf numFmtId="0" fontId="0" fillId="0" borderId="8" xfId="0" applyBorder="1"/>
    <xf numFmtId="0" fontId="0" fillId="0" borderId="9" xfId="0" applyBorder="1"/>
    <xf numFmtId="0" fontId="3" fillId="0" borderId="4" xfId="0" applyFont="1" applyBorder="1" applyAlignment="1">
      <alignment horizontal="right"/>
    </xf>
    <xf numFmtId="164" fontId="0" fillId="0" borderId="0" xfId="1" applyNumberFormat="1" applyFont="1" applyFill="1" applyBorder="1"/>
    <xf numFmtId="9" fontId="0" fillId="0" borderId="8" xfId="2" applyFont="1" applyFill="1" applyBorder="1"/>
    <xf numFmtId="0" fontId="0" fillId="0" borderId="2" xfId="0" applyBorder="1" applyAlignment="1">
      <alignment horizontal="left"/>
    </xf>
    <xf numFmtId="0" fontId="0" fillId="0" borderId="13" xfId="0" applyBorder="1" applyAlignment="1">
      <alignment horizontal="left"/>
    </xf>
    <xf numFmtId="0" fontId="3" fillId="0" borderId="8" xfId="0" applyFont="1" applyBorder="1" applyAlignment="1">
      <alignment horizontal="right"/>
    </xf>
    <xf numFmtId="0" fontId="2" fillId="2" borderId="10" xfId="0" applyFont="1" applyFill="1" applyBorder="1"/>
    <xf numFmtId="0" fontId="0" fillId="2" borderId="11" xfId="0" applyFill="1" applyBorder="1"/>
    <xf numFmtId="0" fontId="0" fillId="2" borderId="12" xfId="0" applyFill="1" applyBorder="1"/>
    <xf numFmtId="0" fontId="3" fillId="0" borderId="0" xfId="0" applyFont="1"/>
    <xf numFmtId="0" fontId="3" fillId="0" borderId="0" xfId="0" applyFont="1" applyAlignment="1">
      <alignment horizontal="right"/>
    </xf>
    <xf numFmtId="0" fontId="3" fillId="0" borderId="2" xfId="0" applyFont="1" applyBorder="1"/>
    <xf numFmtId="164" fontId="0" fillId="0" borderId="0" xfId="1" applyNumberFormat="1" applyFont="1" applyBorder="1" applyAlignment="1">
      <alignment horizontal="right" indent="2"/>
    </xf>
    <xf numFmtId="0" fontId="2" fillId="0" borderId="4" xfId="0" applyFont="1" applyBorder="1"/>
    <xf numFmtId="0" fontId="0" fillId="0" borderId="3" xfId="0" applyBorder="1" applyAlignment="1">
      <alignment vertical="center"/>
    </xf>
    <xf numFmtId="0" fontId="3" fillId="0" borderId="6" xfId="0" applyFont="1" applyBorder="1" applyAlignment="1">
      <alignment horizontal="left" indent="1"/>
    </xf>
    <xf numFmtId="0" fontId="0" fillId="0" borderId="2" xfId="0" applyBorder="1" applyAlignment="1">
      <alignment horizontal="left" vertical="center" indent="1"/>
    </xf>
    <xf numFmtId="9" fontId="0" fillId="0" borderId="2" xfId="2" applyFont="1" applyFill="1" applyBorder="1" applyAlignment="1">
      <alignment horizontal="left" vertical="center" indent="1"/>
    </xf>
    <xf numFmtId="164" fontId="0" fillId="0" borderId="8" xfId="1" applyNumberFormat="1" applyFont="1" applyBorder="1" applyAlignment="1">
      <alignment horizontal="right"/>
    </xf>
    <xf numFmtId="164" fontId="0" fillId="0" borderId="0" xfId="1" applyNumberFormat="1" applyFont="1" applyBorder="1" applyAlignment="1">
      <alignment horizontal="right"/>
    </xf>
    <xf numFmtId="164" fontId="0" fillId="0" borderId="0" xfId="1" applyNumberFormat="1" applyFont="1" applyBorder="1"/>
    <xf numFmtId="164" fontId="0" fillId="0" borderId="1" xfId="1" applyNumberFormat="1" applyFont="1" applyBorder="1" applyAlignment="1">
      <alignment horizontal="right"/>
    </xf>
    <xf numFmtId="164" fontId="0" fillId="0" borderId="1" xfId="1" applyNumberFormat="1" applyFont="1" applyFill="1" applyBorder="1"/>
    <xf numFmtId="0" fontId="0" fillId="0" borderId="13" xfId="0" applyBorder="1"/>
    <xf numFmtId="164" fontId="0" fillId="0" borderId="0" xfId="1" applyNumberFormat="1" applyFont="1" applyFill="1" applyBorder="1" applyAlignment="1">
      <alignment horizontal="right"/>
    </xf>
    <xf numFmtId="164" fontId="0" fillId="0" borderId="1" xfId="1" applyNumberFormat="1" applyFont="1" applyFill="1" applyBorder="1" applyAlignment="1">
      <alignment horizontal="right"/>
    </xf>
    <xf numFmtId="0" fontId="0" fillId="0" borderId="4" xfId="0" applyBorder="1" applyAlignment="1">
      <alignment horizontal="left" vertical="top" wrapText="1"/>
    </xf>
    <xf numFmtId="3" fontId="0" fillId="0" borderId="6" xfId="1" applyNumberFormat="1" applyFont="1" applyFill="1" applyBorder="1" applyAlignment="1">
      <alignment horizontal="right" vertical="top" wrapText="1"/>
    </xf>
    <xf numFmtId="0" fontId="3" fillId="0" borderId="3" xfId="0" applyFont="1" applyBorder="1" applyAlignment="1">
      <alignment horizontal="left" vertical="top" wrapText="1"/>
    </xf>
    <xf numFmtId="3" fontId="3" fillId="0" borderId="2" xfId="1" applyNumberFormat="1" applyFont="1" applyFill="1" applyBorder="1" applyAlignment="1">
      <alignment horizontal="right" vertical="top" wrapText="1"/>
    </xf>
    <xf numFmtId="0" fontId="0" fillId="0" borderId="7" xfId="0" applyBorder="1" applyAlignment="1">
      <alignment horizontal="left" vertical="top" wrapText="1"/>
    </xf>
    <xf numFmtId="3" fontId="0" fillId="0" borderId="9" xfId="1" applyNumberFormat="1" applyFont="1" applyFill="1" applyBorder="1" applyAlignment="1">
      <alignment horizontal="right" vertical="top"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164" fontId="0" fillId="0" borderId="10" xfId="1" applyNumberFormat="1" applyFont="1" applyFill="1" applyBorder="1" applyAlignment="1">
      <alignment horizontal="center" vertical="center" wrapText="1"/>
    </xf>
    <xf numFmtId="164" fontId="0" fillId="0" borderId="12" xfId="1" applyNumberFormat="1" applyFont="1" applyFill="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0" fillId="0" borderId="10" xfId="0" applyBorder="1" applyAlignment="1">
      <alignment horizontal="center"/>
    </xf>
    <xf numFmtId="0" fontId="0" fillId="0" borderId="12" xfId="0" applyBorder="1" applyAlignment="1">
      <alignment horizont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5" fillId="0" borderId="0" xfId="0" applyFont="1" applyAlignment="1">
      <alignment horizontal="center" wrapText="1"/>
    </xf>
    <xf numFmtId="0" fontId="2" fillId="4" borderId="10" xfId="0" applyFont="1" applyFill="1" applyBorder="1" applyAlignment="1">
      <alignment horizontal="left"/>
    </xf>
    <xf numFmtId="0" fontId="2" fillId="4" borderId="11" xfId="0" applyFont="1" applyFill="1" applyBorder="1" applyAlignment="1">
      <alignment horizontal="left"/>
    </xf>
    <xf numFmtId="0" fontId="2" fillId="4" borderId="12" xfId="0"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00FF"/>
      <color rgb="FFEA00FF"/>
      <color rgb="FF8238BA"/>
      <color rgb="FF0066FF"/>
      <color rgb="FF0000FF"/>
      <color rgb="FF008000"/>
      <color rgb="FF80FF00"/>
      <color rgb="FFFF8000"/>
      <color rgb="FFF1A3E8"/>
      <color rgb="FFF59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8EA5-BD49-4ADD-A62D-3F5006EF07B3}">
  <sheetPr>
    <pageSetUpPr fitToPage="1"/>
  </sheetPr>
  <dimension ref="A1:F114"/>
  <sheetViews>
    <sheetView tabSelected="1" zoomScale="98" zoomScaleNormal="98" workbookViewId="0">
      <selection sqref="A1:F1"/>
    </sheetView>
  </sheetViews>
  <sheetFormatPr defaultRowHeight="14.4" x14ac:dyDescent="0.3"/>
  <cols>
    <col min="1" max="1" width="2.109375" customWidth="1"/>
    <col min="2" max="2" width="3.5546875" customWidth="1"/>
    <col min="3" max="3" width="45.44140625" customWidth="1"/>
    <col min="4" max="4" width="19.109375" customWidth="1"/>
    <col min="5" max="5" width="15" customWidth="1"/>
    <col min="6" max="6" width="36.44140625" customWidth="1"/>
  </cols>
  <sheetData>
    <row r="1" spans="1:6" ht="47.4" customHeight="1" x14ac:dyDescent="0.5">
      <c r="A1" s="80" t="s">
        <v>69</v>
      </c>
      <c r="B1" s="80"/>
      <c r="C1" s="80"/>
      <c r="D1" s="80"/>
      <c r="E1" s="80"/>
      <c r="F1" s="80"/>
    </row>
    <row r="2" spans="1:6" ht="15" thickBot="1" x14ac:dyDescent="0.35"/>
    <row r="3" spans="1:6" ht="15" thickBot="1" x14ac:dyDescent="0.35">
      <c r="B3" s="16" t="s">
        <v>0</v>
      </c>
      <c r="C3" s="17"/>
      <c r="D3" s="17"/>
      <c r="E3" s="17"/>
      <c r="F3" s="18"/>
    </row>
    <row r="4" spans="1:6" x14ac:dyDescent="0.3">
      <c r="B4" s="23" t="s">
        <v>1</v>
      </c>
      <c r="C4" s="3"/>
      <c r="D4" s="3"/>
      <c r="E4" s="3"/>
      <c r="F4" s="4"/>
    </row>
    <row r="5" spans="1:6" x14ac:dyDescent="0.3">
      <c r="B5" s="5"/>
      <c r="C5" s="19" t="s">
        <v>5</v>
      </c>
      <c r="D5" s="20" t="s">
        <v>2</v>
      </c>
      <c r="E5" s="20" t="s">
        <v>3</v>
      </c>
      <c r="F5" s="21" t="s">
        <v>4</v>
      </c>
    </row>
    <row r="6" spans="1:6" x14ac:dyDescent="0.3">
      <c r="B6" s="5"/>
      <c r="C6" t="s">
        <v>13</v>
      </c>
      <c r="D6" s="11">
        <v>262500</v>
      </c>
      <c r="E6" s="30">
        <v>1500</v>
      </c>
      <c r="F6" s="6" t="s">
        <v>6</v>
      </c>
    </row>
    <row r="7" spans="1:6" x14ac:dyDescent="0.3">
      <c r="B7" s="5"/>
      <c r="C7" t="s">
        <v>12</v>
      </c>
      <c r="D7" s="11">
        <v>64400</v>
      </c>
      <c r="E7" s="30">
        <v>215</v>
      </c>
      <c r="F7" s="6" t="s">
        <v>6</v>
      </c>
    </row>
    <row r="8" spans="1:6" x14ac:dyDescent="0.3">
      <c r="B8" s="5"/>
      <c r="C8" t="s">
        <v>7</v>
      </c>
      <c r="D8" s="11">
        <v>421497</v>
      </c>
      <c r="E8" s="29">
        <v>1531</v>
      </c>
      <c r="F8" s="6" t="s">
        <v>15</v>
      </c>
    </row>
    <row r="9" spans="1:6" x14ac:dyDescent="0.3">
      <c r="B9" s="5"/>
      <c r="C9" t="s">
        <v>14</v>
      </c>
      <c r="D9" s="11">
        <v>262442</v>
      </c>
      <c r="E9" s="29">
        <v>612</v>
      </c>
      <c r="F9" s="6" t="s">
        <v>15</v>
      </c>
    </row>
    <row r="10" spans="1:6" x14ac:dyDescent="0.3">
      <c r="B10" s="5"/>
      <c r="C10" t="s">
        <v>8</v>
      </c>
      <c r="D10" s="11">
        <v>319754</v>
      </c>
      <c r="E10" s="29">
        <v>1347</v>
      </c>
      <c r="F10" s="6" t="s">
        <v>15</v>
      </c>
    </row>
    <row r="11" spans="1:6" x14ac:dyDescent="0.3">
      <c r="B11" s="5"/>
      <c r="C11" t="s">
        <v>9</v>
      </c>
      <c r="D11" s="11">
        <v>56162</v>
      </c>
      <c r="E11" s="29">
        <v>206</v>
      </c>
      <c r="F11" s="6" t="s">
        <v>15</v>
      </c>
    </row>
    <row r="12" spans="1:6" x14ac:dyDescent="0.3">
      <c r="B12" s="5"/>
      <c r="C12" t="s">
        <v>10</v>
      </c>
      <c r="D12" s="11">
        <v>120101</v>
      </c>
      <c r="E12" s="29">
        <v>608</v>
      </c>
      <c r="F12" s="6" t="s">
        <v>15</v>
      </c>
    </row>
    <row r="13" spans="1:6" x14ac:dyDescent="0.3">
      <c r="B13" s="5"/>
      <c r="C13" t="s">
        <v>11</v>
      </c>
      <c r="D13" s="11">
        <v>149972</v>
      </c>
      <c r="E13" s="29">
        <v>395</v>
      </c>
      <c r="F13" s="6" t="s">
        <v>15</v>
      </c>
    </row>
    <row r="14" spans="1:6" x14ac:dyDescent="0.3">
      <c r="B14" s="5"/>
      <c r="C14" s="1" t="s">
        <v>36</v>
      </c>
      <c r="D14" s="2">
        <v>305000</v>
      </c>
      <c r="E14" s="31">
        <v>987</v>
      </c>
      <c r="F14" s="14" t="s">
        <v>6</v>
      </c>
    </row>
    <row r="15" spans="1:6" x14ac:dyDescent="0.3">
      <c r="B15" s="5"/>
      <c r="C15" t="s">
        <v>44</v>
      </c>
      <c r="D15" s="22">
        <f>SUM(D6:D14)</f>
        <v>1961828</v>
      </c>
      <c r="E15" s="22">
        <f>SUM(E6:E14)</f>
        <v>7401</v>
      </c>
      <c r="F15" s="6"/>
    </row>
    <row r="16" spans="1:6" ht="13.2" customHeight="1" thickBot="1" x14ac:dyDescent="0.35">
      <c r="B16" s="7"/>
      <c r="C16" s="8" t="s">
        <v>45</v>
      </c>
      <c r="D16" s="12">
        <v>0.8</v>
      </c>
      <c r="E16" s="28">
        <f>E15*D16</f>
        <v>5920.8</v>
      </c>
      <c r="F16" s="9"/>
    </row>
    <row r="17" spans="2:6" x14ac:dyDescent="0.3">
      <c r="B17" s="23" t="s">
        <v>63</v>
      </c>
      <c r="C17" s="3"/>
      <c r="D17" s="3"/>
      <c r="E17" s="3"/>
      <c r="F17" s="4"/>
    </row>
    <row r="18" spans="2:6" x14ac:dyDescent="0.3">
      <c r="B18" s="5"/>
      <c r="C18" s="19" t="s">
        <v>20</v>
      </c>
      <c r="D18" s="20" t="s">
        <v>24</v>
      </c>
      <c r="E18" s="20" t="s">
        <v>21</v>
      </c>
      <c r="F18" s="6"/>
    </row>
    <row r="19" spans="2:6" x14ac:dyDescent="0.3">
      <c r="B19" s="5"/>
      <c r="C19" t="s">
        <v>28</v>
      </c>
      <c r="D19">
        <v>2</v>
      </c>
      <c r="E19">
        <f>1200*D19</f>
        <v>2400</v>
      </c>
      <c r="F19" s="13"/>
    </row>
    <row r="20" spans="2:6" x14ac:dyDescent="0.3">
      <c r="B20" s="5"/>
      <c r="C20" t="s">
        <v>35</v>
      </c>
      <c r="D20">
        <v>2</v>
      </c>
      <c r="E20">
        <f>955*D20</f>
        <v>1910</v>
      </c>
      <c r="F20" s="13"/>
    </row>
    <row r="21" spans="2:6" ht="15" thickBot="1" x14ac:dyDescent="0.35">
      <c r="B21" s="5"/>
      <c r="C21" t="s">
        <v>32</v>
      </c>
      <c r="D21">
        <v>2</v>
      </c>
      <c r="E21">
        <f>620*D21</f>
        <v>1240</v>
      </c>
      <c r="F21" s="13"/>
    </row>
    <row r="22" spans="2:6" x14ac:dyDescent="0.3">
      <c r="B22" s="23" t="s">
        <v>38</v>
      </c>
      <c r="C22" s="3"/>
      <c r="D22" s="3"/>
      <c r="E22" s="3"/>
      <c r="F22" s="4"/>
    </row>
    <row r="23" spans="2:6" x14ac:dyDescent="0.3">
      <c r="B23" s="5"/>
      <c r="C23" s="19" t="s">
        <v>20</v>
      </c>
      <c r="D23" s="20" t="s">
        <v>24</v>
      </c>
      <c r="E23" s="20" t="s">
        <v>21</v>
      </c>
      <c r="F23" s="6"/>
    </row>
    <row r="24" spans="2:6" ht="15" thickBot="1" x14ac:dyDescent="0.35">
      <c r="B24" s="7"/>
      <c r="C24" s="8" t="s">
        <v>62</v>
      </c>
      <c r="D24" s="15"/>
      <c r="E24" s="15"/>
      <c r="F24" s="9"/>
    </row>
    <row r="25" spans="2:6" ht="15" thickBot="1" x14ac:dyDescent="0.35">
      <c r="B25" s="69" t="s">
        <v>23</v>
      </c>
      <c r="C25" s="70"/>
      <c r="D25" s="71"/>
      <c r="E25" s="67" t="s">
        <v>22</v>
      </c>
      <c r="F25" s="68"/>
    </row>
    <row r="26" spans="2:6" ht="27" customHeight="1" x14ac:dyDescent="0.3">
      <c r="B26" s="5" t="s">
        <v>31</v>
      </c>
      <c r="C26" s="3"/>
      <c r="D26" s="4"/>
      <c r="E26" s="10" t="s">
        <v>24</v>
      </c>
      <c r="F26" s="25" t="s">
        <v>21</v>
      </c>
    </row>
    <row r="27" spans="2:6" ht="21.6" customHeight="1" x14ac:dyDescent="0.3">
      <c r="B27" s="24"/>
      <c r="C27" s="59" t="s">
        <v>25</v>
      </c>
      <c r="D27" s="60"/>
      <c r="E27" s="24">
        <v>1</v>
      </c>
      <c r="F27" s="26">
        <f>1000*E27</f>
        <v>1000</v>
      </c>
    </row>
    <row r="28" spans="2:6" ht="15.75" customHeight="1" x14ac:dyDescent="0.3">
      <c r="B28" s="24"/>
      <c r="C28" s="59" t="s">
        <v>26</v>
      </c>
      <c r="D28" s="60"/>
      <c r="E28" s="24">
        <v>1</v>
      </c>
      <c r="F28" s="26">
        <f>2800*E28</f>
        <v>2800</v>
      </c>
    </row>
    <row r="29" spans="2:6" ht="22.5" customHeight="1" x14ac:dyDescent="0.3">
      <c r="B29" s="24"/>
      <c r="C29" s="59" t="s">
        <v>27</v>
      </c>
      <c r="D29" s="60"/>
      <c r="E29" s="24">
        <v>0</v>
      </c>
      <c r="F29" s="26">
        <f>2800*E29</f>
        <v>0</v>
      </c>
    </row>
    <row r="30" spans="2:6" ht="24.75" customHeight="1" x14ac:dyDescent="0.3">
      <c r="B30" s="24"/>
      <c r="C30" s="59" t="s">
        <v>52</v>
      </c>
      <c r="D30" s="60"/>
      <c r="E30" s="24">
        <f>SUM(E27:E29)</f>
        <v>2</v>
      </c>
      <c r="F30" s="26">
        <f t="shared" ref="F30" si="0">SUM(F27:F29)</f>
        <v>3800</v>
      </c>
    </row>
    <row r="31" spans="2:6" x14ac:dyDescent="0.3">
      <c r="B31" s="24"/>
      <c r="C31" s="59" t="s">
        <v>46</v>
      </c>
      <c r="D31" s="60"/>
      <c r="E31" s="24">
        <f>D19+D20+D21+E30</f>
        <v>8</v>
      </c>
      <c r="F31" s="26">
        <f>E19+E20+E21+F30</f>
        <v>9350</v>
      </c>
    </row>
    <row r="32" spans="2:6" ht="18" customHeight="1" x14ac:dyDescent="0.3">
      <c r="B32" s="58" t="s">
        <v>47</v>
      </c>
      <c r="C32" s="59"/>
      <c r="D32" s="60"/>
      <c r="E32" s="24">
        <f>E31-1</f>
        <v>7</v>
      </c>
      <c r="F32" s="26">
        <f>F31-2800</f>
        <v>6550</v>
      </c>
    </row>
    <row r="33" spans="2:6" ht="33" customHeight="1" x14ac:dyDescent="0.3">
      <c r="B33" s="64" t="s">
        <v>48</v>
      </c>
      <c r="C33" s="65"/>
      <c r="D33" s="66"/>
      <c r="E33" s="24">
        <f>E31-D20-D21</f>
        <v>4</v>
      </c>
      <c r="F33" s="26">
        <f>F31-E20-E21</f>
        <v>6200</v>
      </c>
    </row>
    <row r="34" spans="2:6" ht="14.4" customHeight="1" x14ac:dyDescent="0.3">
      <c r="B34" s="58" t="s">
        <v>49</v>
      </c>
      <c r="C34" s="59"/>
      <c r="D34" s="60"/>
      <c r="E34" s="24"/>
      <c r="F34" s="27">
        <f>F31/E16</f>
        <v>1.5791784893933252</v>
      </c>
    </row>
    <row r="35" spans="2:6" ht="33" customHeight="1" x14ac:dyDescent="0.3">
      <c r="B35" s="58" t="s">
        <v>50</v>
      </c>
      <c r="C35" s="59"/>
      <c r="D35" s="60"/>
      <c r="E35" s="24"/>
      <c r="F35" s="27">
        <f>F32/$E16</f>
        <v>1.1062694230509391</v>
      </c>
    </row>
    <row r="36" spans="2:6" ht="31.2" customHeight="1" thickBot="1" x14ac:dyDescent="0.35">
      <c r="B36" s="50" t="s">
        <v>51</v>
      </c>
      <c r="C36" s="51"/>
      <c r="D36" s="52"/>
      <c r="E36" s="24"/>
      <c r="F36" s="27">
        <f>F33/$E16</f>
        <v>1.0471557897581407</v>
      </c>
    </row>
    <row r="37" spans="2:6" ht="62.25" customHeight="1" thickBot="1" x14ac:dyDescent="0.35">
      <c r="B37" s="61" t="s">
        <v>30</v>
      </c>
      <c r="C37" s="62"/>
      <c r="D37" s="63"/>
      <c r="E37" s="56" t="s">
        <v>37</v>
      </c>
      <c r="F37" s="57"/>
    </row>
    <row r="38" spans="2:6" ht="17.399999999999999" customHeight="1" x14ac:dyDescent="0.3">
      <c r="B38" s="47" t="s">
        <v>57</v>
      </c>
      <c r="C38" s="48"/>
      <c r="D38" s="49"/>
      <c r="E38" s="36" t="s">
        <v>58</v>
      </c>
      <c r="F38" s="37">
        <f>ROUND(26626*1.1*E$28,-3)</f>
        <v>29000</v>
      </c>
    </row>
    <row r="39" spans="2:6" ht="16.2" customHeight="1" x14ac:dyDescent="0.3">
      <c r="B39" s="50"/>
      <c r="C39" s="51"/>
      <c r="D39" s="52"/>
      <c r="E39" s="38" t="s">
        <v>59</v>
      </c>
      <c r="F39" s="39" t="s">
        <v>61</v>
      </c>
    </row>
    <row r="40" spans="2:6" ht="15" customHeight="1" thickBot="1" x14ac:dyDescent="0.35">
      <c r="B40" s="53"/>
      <c r="C40" s="54"/>
      <c r="D40" s="55"/>
      <c r="E40" s="40" t="s">
        <v>60</v>
      </c>
      <c r="F40" s="41">
        <f>SUM(F38:F39)</f>
        <v>29000</v>
      </c>
    </row>
    <row r="41" spans="2:6" ht="63" customHeight="1" thickBot="1" x14ac:dyDescent="0.35">
      <c r="B41" s="61" t="s">
        <v>29</v>
      </c>
      <c r="C41" s="62"/>
      <c r="D41" s="63"/>
      <c r="E41" s="42" t="s">
        <v>40</v>
      </c>
      <c r="F41" s="44"/>
    </row>
    <row r="42" spans="2:6" ht="96.75" customHeight="1" thickBot="1" x14ac:dyDescent="0.35">
      <c r="B42" s="74" t="s">
        <v>54</v>
      </c>
      <c r="C42" s="75"/>
      <c r="D42" s="76"/>
      <c r="E42" s="72" t="s">
        <v>39</v>
      </c>
      <c r="F42" s="73"/>
    </row>
    <row r="43" spans="2:6" ht="31.95" customHeight="1" thickBot="1" x14ac:dyDescent="0.35">
      <c r="B43" s="42" t="s">
        <v>64</v>
      </c>
      <c r="C43" s="43"/>
      <c r="D43" s="44"/>
      <c r="E43" s="45">
        <v>1230</v>
      </c>
      <c r="F43" s="46"/>
    </row>
    <row r="44" spans="2:6" ht="24" customHeight="1" thickBot="1" x14ac:dyDescent="0.35"/>
    <row r="45" spans="2:6" ht="15" thickBot="1" x14ac:dyDescent="0.35">
      <c r="B45" s="77" t="s">
        <v>41</v>
      </c>
      <c r="C45" s="78"/>
      <c r="D45" s="78"/>
      <c r="E45" s="78"/>
      <c r="F45" s="79"/>
    </row>
    <row r="46" spans="2:6" x14ac:dyDescent="0.3">
      <c r="B46" s="23" t="s">
        <v>42</v>
      </c>
      <c r="C46" s="3"/>
      <c r="D46" s="3"/>
      <c r="E46" s="3"/>
      <c r="F46" s="4"/>
    </row>
    <row r="47" spans="2:6" x14ac:dyDescent="0.3">
      <c r="B47" s="5"/>
      <c r="C47" s="19" t="s">
        <v>5</v>
      </c>
      <c r="D47" s="20" t="s">
        <v>2</v>
      </c>
      <c r="E47" s="20" t="s">
        <v>3</v>
      </c>
      <c r="F47" s="21" t="s">
        <v>4</v>
      </c>
    </row>
    <row r="48" spans="2:6" x14ac:dyDescent="0.3">
      <c r="B48" s="5"/>
      <c r="C48" s="1" t="s">
        <v>12</v>
      </c>
      <c r="D48" s="32">
        <v>64400</v>
      </c>
      <c r="E48" s="1">
        <v>215</v>
      </c>
      <c r="F48" s="33" t="s">
        <v>6</v>
      </c>
    </row>
    <row r="49" spans="2:6" x14ac:dyDescent="0.3">
      <c r="B49" s="5"/>
      <c r="C49" t="s">
        <v>43</v>
      </c>
      <c r="D49" s="11">
        <f>SUM(D48)</f>
        <v>64400</v>
      </c>
      <c r="E49" s="30">
        <f>SUM(E48)</f>
        <v>215</v>
      </c>
      <c r="F49" s="6"/>
    </row>
    <row r="50" spans="2:6" x14ac:dyDescent="0.3">
      <c r="B50" s="5"/>
      <c r="C50" t="s">
        <v>44</v>
      </c>
      <c r="D50" s="22">
        <f>D15+D48</f>
        <v>2026228</v>
      </c>
      <c r="E50" s="22">
        <f>E15+E48</f>
        <v>7616</v>
      </c>
      <c r="F50" s="6"/>
    </row>
    <row r="51" spans="2:6" ht="13.2" customHeight="1" thickBot="1" x14ac:dyDescent="0.35">
      <c r="B51" s="7"/>
      <c r="C51" s="8" t="s">
        <v>45</v>
      </c>
      <c r="D51" s="12">
        <v>0.8</v>
      </c>
      <c r="E51" s="28">
        <f>E50*D51</f>
        <v>6092.8</v>
      </c>
      <c r="F51" s="9"/>
    </row>
    <row r="52" spans="2:6" x14ac:dyDescent="0.3">
      <c r="B52" s="23" t="s">
        <v>63</v>
      </c>
      <c r="C52" s="3"/>
      <c r="D52" s="3"/>
      <c r="E52" s="3"/>
      <c r="F52" s="4"/>
    </row>
    <row r="53" spans="2:6" x14ac:dyDescent="0.3">
      <c r="B53" s="5"/>
      <c r="C53" s="19" t="s">
        <v>20</v>
      </c>
      <c r="D53" s="20" t="s">
        <v>24</v>
      </c>
      <c r="E53" s="20" t="s">
        <v>21</v>
      </c>
      <c r="F53" s="6"/>
    </row>
    <row r="54" spans="2:6" x14ac:dyDescent="0.3">
      <c r="B54" s="5"/>
      <c r="C54" t="s">
        <v>28</v>
      </c>
      <c r="D54">
        <v>2</v>
      </c>
      <c r="E54">
        <f>1200*D54</f>
        <v>2400</v>
      </c>
      <c r="F54" s="13"/>
    </row>
    <row r="55" spans="2:6" x14ac:dyDescent="0.3">
      <c r="B55" s="5"/>
      <c r="C55" t="s">
        <v>65</v>
      </c>
      <c r="D55">
        <f>E27</f>
        <v>1</v>
      </c>
      <c r="E55">
        <f>1000*D55</f>
        <v>1000</v>
      </c>
      <c r="F55" s="13"/>
    </row>
    <row r="56" spans="2:6" ht="15" thickBot="1" x14ac:dyDescent="0.35">
      <c r="B56" s="5"/>
      <c r="C56" t="s">
        <v>66</v>
      </c>
      <c r="D56">
        <f>E28</f>
        <v>1</v>
      </c>
      <c r="E56">
        <f>2800*D56</f>
        <v>2800</v>
      </c>
      <c r="F56" s="13"/>
    </row>
    <row r="57" spans="2:6" x14ac:dyDescent="0.3">
      <c r="B57" s="23" t="s">
        <v>38</v>
      </c>
      <c r="C57" s="3"/>
      <c r="D57" s="3"/>
      <c r="E57" s="3"/>
      <c r="F57" s="4"/>
    </row>
    <row r="58" spans="2:6" x14ac:dyDescent="0.3">
      <c r="B58" s="5"/>
      <c r="C58" s="19" t="s">
        <v>20</v>
      </c>
      <c r="D58" s="20" t="s">
        <v>24</v>
      </c>
      <c r="E58" s="20" t="s">
        <v>21</v>
      </c>
      <c r="F58" s="6"/>
    </row>
    <row r="59" spans="2:6" x14ac:dyDescent="0.3">
      <c r="B59" s="5"/>
      <c r="C59" t="s">
        <v>35</v>
      </c>
      <c r="D59">
        <v>2</v>
      </c>
      <c r="E59">
        <f>955*D59</f>
        <v>1910</v>
      </c>
      <c r="F59" s="13"/>
    </row>
    <row r="60" spans="2:6" ht="15" thickBot="1" x14ac:dyDescent="0.35">
      <c r="B60" s="5"/>
      <c r="C60" t="s">
        <v>32</v>
      </c>
      <c r="D60">
        <v>2</v>
      </c>
      <c r="E60">
        <f>620*D60</f>
        <v>1240</v>
      </c>
      <c r="F60" s="13"/>
    </row>
    <row r="61" spans="2:6" ht="15" thickBot="1" x14ac:dyDescent="0.35">
      <c r="B61" s="69" t="s">
        <v>23</v>
      </c>
      <c r="C61" s="70"/>
      <c r="D61" s="71"/>
      <c r="E61" s="67" t="s">
        <v>53</v>
      </c>
      <c r="F61" s="68"/>
    </row>
    <row r="62" spans="2:6" ht="27" customHeight="1" x14ac:dyDescent="0.3">
      <c r="B62" s="5" t="s">
        <v>31</v>
      </c>
      <c r="C62" s="3"/>
      <c r="D62" s="4"/>
      <c r="E62" s="10" t="s">
        <v>24</v>
      </c>
      <c r="F62" s="25" t="s">
        <v>21</v>
      </c>
    </row>
    <row r="63" spans="2:6" ht="21.6" customHeight="1" x14ac:dyDescent="0.3">
      <c r="B63" s="24"/>
      <c r="C63" s="59" t="s">
        <v>25</v>
      </c>
      <c r="D63" s="60"/>
      <c r="E63" s="24">
        <v>0</v>
      </c>
      <c r="F63" s="26">
        <f>1000*E63</f>
        <v>0</v>
      </c>
    </row>
    <row r="64" spans="2:6" ht="15.75" customHeight="1" x14ac:dyDescent="0.3">
      <c r="B64" s="24"/>
      <c r="C64" s="59" t="s">
        <v>26</v>
      </c>
      <c r="D64" s="60"/>
      <c r="E64" s="24">
        <v>0</v>
      </c>
      <c r="F64" s="26">
        <f>2800*E64</f>
        <v>0</v>
      </c>
    </row>
    <row r="65" spans="2:6" ht="22.5" customHeight="1" x14ac:dyDescent="0.3">
      <c r="B65" s="24"/>
      <c r="C65" s="59" t="s">
        <v>27</v>
      </c>
      <c r="D65" s="60"/>
      <c r="E65" s="24">
        <v>1</v>
      </c>
      <c r="F65" s="26">
        <f>2800*E65</f>
        <v>2800</v>
      </c>
    </row>
    <row r="66" spans="2:6" ht="24.75" customHeight="1" x14ac:dyDescent="0.3">
      <c r="B66" s="24"/>
      <c r="C66" s="59" t="s">
        <v>52</v>
      </c>
      <c r="D66" s="60"/>
      <c r="E66" s="24">
        <f>SUM(D55:D56)+SUM(E63:E65)</f>
        <v>3</v>
      </c>
      <c r="F66" s="26">
        <f>SUM(E55:E56)+SUM(F63:F65)</f>
        <v>6600</v>
      </c>
    </row>
    <row r="67" spans="2:6" x14ac:dyDescent="0.3">
      <c r="B67" s="24"/>
      <c r="C67" s="59" t="s">
        <v>46</v>
      </c>
      <c r="D67" s="60"/>
      <c r="E67" s="24">
        <f>D54+E66</f>
        <v>5</v>
      </c>
      <c r="F67" s="26">
        <f>E54+F66</f>
        <v>9000</v>
      </c>
    </row>
    <row r="68" spans="2:6" ht="18" customHeight="1" x14ac:dyDescent="0.3">
      <c r="B68" s="58" t="s">
        <v>47</v>
      </c>
      <c r="C68" s="59"/>
      <c r="D68" s="60"/>
      <c r="E68" s="24">
        <f>E67-1</f>
        <v>4</v>
      </c>
      <c r="F68" s="26">
        <f>F67-2800</f>
        <v>6200</v>
      </c>
    </row>
    <row r="69" spans="2:6" ht="19.2" customHeight="1" x14ac:dyDescent="0.3">
      <c r="B69" s="58" t="s">
        <v>49</v>
      </c>
      <c r="C69" s="59"/>
      <c r="D69" s="60"/>
      <c r="E69" s="24"/>
      <c r="F69" s="27">
        <f>F67/E51</f>
        <v>1.4771533613445378</v>
      </c>
    </row>
    <row r="70" spans="2:6" ht="18.600000000000001" customHeight="1" thickBot="1" x14ac:dyDescent="0.35">
      <c r="B70" s="58" t="s">
        <v>50</v>
      </c>
      <c r="C70" s="59"/>
      <c r="D70" s="60"/>
      <c r="E70" s="24"/>
      <c r="F70" s="27">
        <f>F68/$E51</f>
        <v>1.0175945378151261</v>
      </c>
    </row>
    <row r="71" spans="2:6" ht="30" customHeight="1" thickBot="1" x14ac:dyDescent="0.35">
      <c r="B71" s="61" t="s">
        <v>30</v>
      </c>
      <c r="C71" s="62"/>
      <c r="D71" s="63"/>
      <c r="E71" s="42" t="s">
        <v>53</v>
      </c>
      <c r="F71" s="44"/>
    </row>
    <row r="72" spans="2:6" ht="17.399999999999999" customHeight="1" x14ac:dyDescent="0.3">
      <c r="B72" s="47" t="s">
        <v>57</v>
      </c>
      <c r="C72" s="48"/>
      <c r="D72" s="49"/>
      <c r="E72" s="36" t="s">
        <v>58</v>
      </c>
      <c r="F72" s="37">
        <f>ROUND(26626*1.1*E$28,-3)</f>
        <v>29000</v>
      </c>
    </row>
    <row r="73" spans="2:6" ht="16.2" customHeight="1" x14ac:dyDescent="0.3">
      <c r="B73" s="50"/>
      <c r="C73" s="51"/>
      <c r="D73" s="52"/>
      <c r="E73" s="38" t="s">
        <v>59</v>
      </c>
      <c r="F73" s="39">
        <f>-(E59+E60)*18.7</f>
        <v>-58905</v>
      </c>
    </row>
    <row r="74" spans="2:6" ht="15" customHeight="1" thickBot="1" x14ac:dyDescent="0.35">
      <c r="B74" s="53"/>
      <c r="C74" s="54"/>
      <c r="D74" s="55"/>
      <c r="E74" s="40" t="s">
        <v>60</v>
      </c>
      <c r="F74" s="41">
        <f>SUM(F72:F73)</f>
        <v>-29905</v>
      </c>
    </row>
    <row r="75" spans="2:6" ht="24.6" customHeight="1" thickBot="1" x14ac:dyDescent="0.35">
      <c r="B75" s="61" t="s">
        <v>29</v>
      </c>
      <c r="C75" s="62"/>
      <c r="D75" s="63"/>
      <c r="E75" s="42" t="s">
        <v>53</v>
      </c>
      <c r="F75" s="44"/>
    </row>
    <row r="76" spans="2:6" ht="30.6" customHeight="1" thickBot="1" x14ac:dyDescent="0.35">
      <c r="B76" s="74" t="s">
        <v>54</v>
      </c>
      <c r="C76" s="75"/>
      <c r="D76" s="76"/>
      <c r="E76" s="42" t="s">
        <v>53</v>
      </c>
      <c r="F76" s="44"/>
    </row>
    <row r="77" spans="2:6" ht="31.95" customHeight="1" thickBot="1" x14ac:dyDescent="0.35">
      <c r="B77" s="42" t="s">
        <v>64</v>
      </c>
      <c r="C77" s="43"/>
      <c r="D77" s="44"/>
      <c r="E77" s="45">
        <f>3326</f>
        <v>3326</v>
      </c>
      <c r="F77" s="46"/>
    </row>
    <row r="78" spans="2:6" ht="24" customHeight="1" thickBot="1" x14ac:dyDescent="0.35"/>
    <row r="79" spans="2:6" ht="15" thickBot="1" x14ac:dyDescent="0.35">
      <c r="B79" s="81" t="s">
        <v>55</v>
      </c>
      <c r="C79" s="82"/>
      <c r="D79" s="82"/>
      <c r="E79" s="82"/>
      <c r="F79" s="83"/>
    </row>
    <row r="80" spans="2:6" x14ac:dyDescent="0.3">
      <c r="B80" s="23" t="s">
        <v>42</v>
      </c>
      <c r="C80" s="3"/>
      <c r="D80" s="3"/>
      <c r="E80" s="3"/>
      <c r="F80" s="4"/>
    </row>
    <row r="81" spans="2:6" x14ac:dyDescent="0.3">
      <c r="B81" s="5"/>
      <c r="C81" s="19" t="s">
        <v>5</v>
      </c>
      <c r="D81" s="20" t="s">
        <v>2</v>
      </c>
      <c r="E81" s="20" t="s">
        <v>3</v>
      </c>
      <c r="F81" s="21" t="s">
        <v>4</v>
      </c>
    </row>
    <row r="82" spans="2:6" x14ac:dyDescent="0.3">
      <c r="B82" s="5"/>
      <c r="C82" t="s">
        <v>16</v>
      </c>
      <c r="D82" s="11">
        <v>315886</v>
      </c>
      <c r="E82">
        <v>980</v>
      </c>
      <c r="F82" s="6" t="s">
        <v>19</v>
      </c>
    </row>
    <row r="83" spans="2:6" x14ac:dyDescent="0.3">
      <c r="B83" s="5"/>
      <c r="C83" t="s">
        <v>17</v>
      </c>
      <c r="D83" s="11">
        <v>219249</v>
      </c>
      <c r="E83" s="34">
        <v>730</v>
      </c>
      <c r="F83" s="6" t="s">
        <v>19</v>
      </c>
    </row>
    <row r="84" spans="2:6" x14ac:dyDescent="0.3">
      <c r="B84" s="5"/>
      <c r="C84" s="1" t="s">
        <v>18</v>
      </c>
      <c r="D84" s="32">
        <v>133524</v>
      </c>
      <c r="E84" s="35">
        <v>564</v>
      </c>
      <c r="F84" s="33" t="s">
        <v>19</v>
      </c>
    </row>
    <row r="85" spans="2:6" x14ac:dyDescent="0.3">
      <c r="B85" s="5"/>
      <c r="C85" t="s">
        <v>43</v>
      </c>
      <c r="D85" s="11">
        <f>SUM(D82:D84)</f>
        <v>668659</v>
      </c>
      <c r="E85" s="11">
        <f>SUM(E82:E84)</f>
        <v>2274</v>
      </c>
      <c r="F85" s="6"/>
    </row>
    <row r="86" spans="2:6" x14ac:dyDescent="0.3">
      <c r="B86" s="5"/>
      <c r="C86" t="s">
        <v>44</v>
      </c>
      <c r="D86" s="22">
        <f>D50+D85</f>
        <v>2694887</v>
      </c>
      <c r="E86" s="22">
        <f>E50+E85</f>
        <v>9890</v>
      </c>
      <c r="F86" s="6"/>
    </row>
    <row r="87" spans="2:6" ht="13.2" customHeight="1" thickBot="1" x14ac:dyDescent="0.35">
      <c r="B87" s="7"/>
      <c r="C87" s="8" t="s">
        <v>45</v>
      </c>
      <c r="D87" s="12">
        <v>0.8</v>
      </c>
      <c r="E87" s="28">
        <f>E86*D87</f>
        <v>7912</v>
      </c>
      <c r="F87" s="9"/>
    </row>
    <row r="88" spans="2:6" x14ac:dyDescent="0.3">
      <c r="B88" s="23" t="s">
        <v>63</v>
      </c>
      <c r="C88" s="3"/>
      <c r="D88" s="3"/>
      <c r="E88" s="3"/>
      <c r="F88" s="4"/>
    </row>
    <row r="89" spans="2:6" x14ac:dyDescent="0.3">
      <c r="B89" s="5"/>
      <c r="C89" s="19" t="s">
        <v>20</v>
      </c>
      <c r="D89" s="20" t="s">
        <v>24</v>
      </c>
      <c r="E89" s="20" t="s">
        <v>21</v>
      </c>
      <c r="F89" s="6"/>
    </row>
    <row r="90" spans="2:6" x14ac:dyDescent="0.3">
      <c r="B90" s="5"/>
      <c r="C90" t="s">
        <v>28</v>
      </c>
      <c r="D90">
        <v>2</v>
      </c>
      <c r="E90">
        <f>1200*D90</f>
        <v>2400</v>
      </c>
      <c r="F90" s="13"/>
    </row>
    <row r="91" spans="2:6" x14ac:dyDescent="0.3">
      <c r="B91" s="5"/>
      <c r="C91" t="s">
        <v>65</v>
      </c>
      <c r="D91">
        <f>D55+E63</f>
        <v>1</v>
      </c>
      <c r="E91">
        <f>1000*D91</f>
        <v>1000</v>
      </c>
      <c r="F91" s="13"/>
    </row>
    <row r="92" spans="2:6" x14ac:dyDescent="0.3">
      <c r="B92" s="5"/>
      <c r="C92" t="s">
        <v>66</v>
      </c>
      <c r="D92">
        <f>D56+E64</f>
        <v>1</v>
      </c>
      <c r="E92">
        <f>2800*D92</f>
        <v>2800</v>
      </c>
      <c r="F92" s="13"/>
    </row>
    <row r="93" spans="2:6" ht="15" thickBot="1" x14ac:dyDescent="0.35">
      <c r="B93" s="5"/>
      <c r="C93" t="s">
        <v>67</v>
      </c>
      <c r="D93">
        <f>E65</f>
        <v>1</v>
      </c>
      <c r="E93">
        <f>2800*D93</f>
        <v>2800</v>
      </c>
      <c r="F93" s="13"/>
    </row>
    <row r="94" spans="2:6" x14ac:dyDescent="0.3">
      <c r="B94" s="23" t="s">
        <v>38</v>
      </c>
      <c r="C94" s="3"/>
      <c r="D94" s="3"/>
      <c r="E94" s="3"/>
      <c r="F94" s="4"/>
    </row>
    <row r="95" spans="2:6" x14ac:dyDescent="0.3">
      <c r="B95" s="5"/>
      <c r="C95" s="19" t="s">
        <v>20</v>
      </c>
      <c r="D95" s="20" t="s">
        <v>24</v>
      </c>
      <c r="E95" s="20" t="s">
        <v>21</v>
      </c>
      <c r="F95" s="6"/>
    </row>
    <row r="96" spans="2:6" x14ac:dyDescent="0.3">
      <c r="B96" s="5"/>
      <c r="C96" t="s">
        <v>33</v>
      </c>
      <c r="D96">
        <v>2</v>
      </c>
      <c r="E96">
        <f>490*D96</f>
        <v>980</v>
      </c>
      <c r="F96" s="13"/>
    </row>
    <row r="97" spans="2:6" ht="15" thickBot="1" x14ac:dyDescent="0.35">
      <c r="B97" s="5"/>
      <c r="C97" t="s">
        <v>34</v>
      </c>
      <c r="D97">
        <v>2</v>
      </c>
      <c r="E97">
        <f>800*D97</f>
        <v>1600</v>
      </c>
      <c r="F97" s="13"/>
    </row>
    <row r="98" spans="2:6" ht="15" thickBot="1" x14ac:dyDescent="0.35">
      <c r="B98" s="69" t="s">
        <v>23</v>
      </c>
      <c r="C98" s="70"/>
      <c r="D98" s="71"/>
      <c r="E98" s="67" t="s">
        <v>53</v>
      </c>
      <c r="F98" s="68"/>
    </row>
    <row r="99" spans="2:6" ht="27" customHeight="1" x14ac:dyDescent="0.3">
      <c r="B99" s="5" t="s">
        <v>31</v>
      </c>
      <c r="C99" s="3"/>
      <c r="D99" s="4"/>
      <c r="E99" s="10" t="s">
        <v>24</v>
      </c>
      <c r="F99" s="25" t="s">
        <v>21</v>
      </c>
    </row>
    <row r="100" spans="2:6" ht="18.600000000000001" customHeight="1" x14ac:dyDescent="0.3">
      <c r="B100" s="24"/>
      <c r="C100" s="59" t="s">
        <v>25</v>
      </c>
      <c r="D100" s="60"/>
      <c r="E100" s="24">
        <v>0</v>
      </c>
      <c r="F100" s="26">
        <f>1000*E100</f>
        <v>0</v>
      </c>
    </row>
    <row r="101" spans="2:6" ht="15.75" customHeight="1" x14ac:dyDescent="0.3">
      <c r="B101" s="24"/>
      <c r="C101" s="59" t="s">
        <v>26</v>
      </c>
      <c r="D101" s="60"/>
      <c r="E101" s="24">
        <v>1</v>
      </c>
      <c r="F101" s="26">
        <f>2800*E101</f>
        <v>2800</v>
      </c>
    </row>
    <row r="102" spans="2:6" ht="22.5" customHeight="1" x14ac:dyDescent="0.3">
      <c r="B102" s="24"/>
      <c r="C102" s="59" t="s">
        <v>27</v>
      </c>
      <c r="D102" s="60"/>
      <c r="E102" s="24">
        <v>0</v>
      </c>
      <c r="F102" s="26">
        <f>2800*E102</f>
        <v>0</v>
      </c>
    </row>
    <row r="103" spans="2:6" ht="24.75" customHeight="1" x14ac:dyDescent="0.3">
      <c r="B103" s="24"/>
      <c r="C103" s="59" t="s">
        <v>68</v>
      </c>
      <c r="D103" s="60"/>
      <c r="E103" s="24">
        <f>SUM(D92:D93)+SUM(E100:E102)</f>
        <v>3</v>
      </c>
      <c r="F103" s="26">
        <f>SUM(E91:E93)+SUM(F100:F102)</f>
        <v>9400</v>
      </c>
    </row>
    <row r="104" spans="2:6" x14ac:dyDescent="0.3">
      <c r="B104" s="24"/>
      <c r="C104" s="59" t="s">
        <v>46</v>
      </c>
      <c r="D104" s="60"/>
      <c r="E104" s="24">
        <f>D90+E103</f>
        <v>5</v>
      </c>
      <c r="F104" s="26">
        <f>E90+F103</f>
        <v>11800</v>
      </c>
    </row>
    <row r="105" spans="2:6" ht="18" customHeight="1" x14ac:dyDescent="0.3">
      <c r="B105" s="58" t="s">
        <v>47</v>
      </c>
      <c r="C105" s="59"/>
      <c r="D105" s="60"/>
      <c r="E105" s="24">
        <f>E104-1</f>
        <v>4</v>
      </c>
      <c r="F105" s="26">
        <f>F104-2800</f>
        <v>9000</v>
      </c>
    </row>
    <row r="106" spans="2:6" ht="14.4" customHeight="1" x14ac:dyDescent="0.3">
      <c r="B106" s="58" t="s">
        <v>49</v>
      </c>
      <c r="C106" s="59"/>
      <c r="D106" s="60"/>
      <c r="E106" s="24"/>
      <c r="F106" s="27">
        <f>F$31/$E$16</f>
        <v>1.5791784893933252</v>
      </c>
    </row>
    <row r="107" spans="2:6" ht="22.2" customHeight="1" thickBot="1" x14ac:dyDescent="0.35">
      <c r="B107" s="58" t="s">
        <v>50</v>
      </c>
      <c r="C107" s="59"/>
      <c r="D107" s="60"/>
      <c r="E107" s="24"/>
      <c r="F107" s="27">
        <f>F105/$E87</f>
        <v>1.1375126390293226</v>
      </c>
    </row>
    <row r="108" spans="2:6" ht="30" customHeight="1" thickBot="1" x14ac:dyDescent="0.35">
      <c r="B108" s="61" t="s">
        <v>30</v>
      </c>
      <c r="C108" s="62"/>
      <c r="D108" s="63"/>
      <c r="E108" s="42" t="s">
        <v>53</v>
      </c>
      <c r="F108" s="44"/>
    </row>
    <row r="109" spans="2:6" ht="17.399999999999999" customHeight="1" x14ac:dyDescent="0.3">
      <c r="B109" s="47" t="s">
        <v>57</v>
      </c>
      <c r="C109" s="48"/>
      <c r="D109" s="49"/>
      <c r="E109" s="36" t="s">
        <v>58</v>
      </c>
      <c r="F109" s="37">
        <f>F72+ROUND(26626*1.1*E$28,-3)</f>
        <v>58000</v>
      </c>
    </row>
    <row r="110" spans="2:6" ht="16.2" customHeight="1" x14ac:dyDescent="0.3">
      <c r="B110" s="50"/>
      <c r="C110" s="51"/>
      <c r="D110" s="52"/>
      <c r="E110" s="38" t="s">
        <v>59</v>
      </c>
      <c r="F110" s="39">
        <f>F73-(E96+E97)*18.7</f>
        <v>-107151</v>
      </c>
    </row>
    <row r="111" spans="2:6" ht="15" customHeight="1" thickBot="1" x14ac:dyDescent="0.35">
      <c r="B111" s="53"/>
      <c r="C111" s="54"/>
      <c r="D111" s="55"/>
      <c r="E111" s="40" t="s">
        <v>60</v>
      </c>
      <c r="F111" s="41">
        <f>SUM(F109:F110)</f>
        <v>-49151</v>
      </c>
    </row>
    <row r="112" spans="2:6" ht="61.8" customHeight="1" thickBot="1" x14ac:dyDescent="0.35">
      <c r="B112" s="61" t="s">
        <v>29</v>
      </c>
      <c r="C112" s="62"/>
      <c r="D112" s="63"/>
      <c r="E112" s="42" t="s">
        <v>56</v>
      </c>
      <c r="F112" s="44"/>
    </row>
    <row r="113" spans="2:6" ht="30.6" customHeight="1" thickBot="1" x14ac:dyDescent="0.35">
      <c r="B113" s="74" t="s">
        <v>54</v>
      </c>
      <c r="C113" s="75"/>
      <c r="D113" s="76"/>
      <c r="E113" s="42" t="s">
        <v>53</v>
      </c>
      <c r="F113" s="44"/>
    </row>
    <row r="114" spans="2:6" ht="31.95" customHeight="1" thickBot="1" x14ac:dyDescent="0.35">
      <c r="B114" s="42" t="s">
        <v>64</v>
      </c>
      <c r="C114" s="43"/>
      <c r="D114" s="44"/>
      <c r="E114" s="45">
        <f>3818</f>
        <v>3818</v>
      </c>
      <c r="F114" s="46"/>
    </row>
  </sheetData>
  <mergeCells count="62">
    <mergeCell ref="A1:F1"/>
    <mergeCell ref="B107:D107"/>
    <mergeCell ref="B108:D108"/>
    <mergeCell ref="E108:F108"/>
    <mergeCell ref="B112:D112"/>
    <mergeCell ref="E112:F112"/>
    <mergeCell ref="C102:D102"/>
    <mergeCell ref="C103:D103"/>
    <mergeCell ref="C104:D104"/>
    <mergeCell ref="B105:D105"/>
    <mergeCell ref="B106:D106"/>
    <mergeCell ref="B79:F79"/>
    <mergeCell ref="B98:D98"/>
    <mergeCell ref="E98:F98"/>
    <mergeCell ref="B75:D75"/>
    <mergeCell ref="E75:F75"/>
    <mergeCell ref="B76:D76"/>
    <mergeCell ref="E76:F76"/>
    <mergeCell ref="B113:D113"/>
    <mergeCell ref="E113:F113"/>
    <mergeCell ref="E42:F42"/>
    <mergeCell ref="B42:D42"/>
    <mergeCell ref="B45:F45"/>
    <mergeCell ref="B69:D69"/>
    <mergeCell ref="B70:D70"/>
    <mergeCell ref="C65:D65"/>
    <mergeCell ref="C66:D66"/>
    <mergeCell ref="C67:D67"/>
    <mergeCell ref="B68:D68"/>
    <mergeCell ref="C31:D31"/>
    <mergeCell ref="B32:D32"/>
    <mergeCell ref="B33:D33"/>
    <mergeCell ref="B34:D34"/>
    <mergeCell ref="E25:F25"/>
    <mergeCell ref="B25:D25"/>
    <mergeCell ref="C27:D27"/>
    <mergeCell ref="C28:D28"/>
    <mergeCell ref="C29:D29"/>
    <mergeCell ref="C30:D30"/>
    <mergeCell ref="E37:F37"/>
    <mergeCell ref="E41:F41"/>
    <mergeCell ref="B35:D35"/>
    <mergeCell ref="B36:D36"/>
    <mergeCell ref="B37:D37"/>
    <mergeCell ref="B38:D40"/>
    <mergeCell ref="B41:D41"/>
    <mergeCell ref="B114:D114"/>
    <mergeCell ref="E114:F114"/>
    <mergeCell ref="B72:D74"/>
    <mergeCell ref="B109:D111"/>
    <mergeCell ref="E43:F43"/>
    <mergeCell ref="B43:D43"/>
    <mergeCell ref="B77:D77"/>
    <mergeCell ref="E77:F77"/>
    <mergeCell ref="B61:D61"/>
    <mergeCell ref="E61:F61"/>
    <mergeCell ref="C63:D63"/>
    <mergeCell ref="C64:D64"/>
    <mergeCell ref="B71:D71"/>
    <mergeCell ref="E71:F71"/>
    <mergeCell ref="C100:D100"/>
    <mergeCell ref="C101:D101"/>
  </mergeCells>
  <pageMargins left="0.5" right="0.25" top="0.75" bottom="0.75" header="0.3" footer="0.3"/>
  <pageSetup paperSize="119" scale="90" fitToHeight="0" orientation="portrait"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P. Sczomak</dc:creator>
  <cp:lastModifiedBy>Dennis P. Sczomak</cp:lastModifiedBy>
  <cp:lastPrinted>2023-11-17T01:37:23Z</cp:lastPrinted>
  <dcterms:created xsi:type="dcterms:W3CDTF">2023-09-08T16:12:01Z</dcterms:created>
  <dcterms:modified xsi:type="dcterms:W3CDTF">2023-12-22T20:09:20Z</dcterms:modified>
</cp:coreProperties>
</file>